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880" yWindow="65516" windowWidth="20320" windowHeight="12620" tabRatio="292" activeTab="0"/>
  </bookViews>
  <sheets>
    <sheet name="Feuil1" sheetId="1" r:id="rId1"/>
  </sheets>
  <definedNames>
    <definedName name="Alt10">'Feuil1'!#REF!</definedName>
    <definedName name="AltEnt">'Feuil1'!$D$5</definedName>
    <definedName name="AltLeon">'Feuil1'!$D$25</definedName>
    <definedName name="ARAD">'Feuil1'!#REF!</definedName>
    <definedName name="ARAE">'Feuil1'!$D$7</definedName>
    <definedName name="ARAI">'Feuil1'!$B$32</definedName>
    <definedName name="ARAL">'Feuil1'!$D$27</definedName>
    <definedName name="Aref">'Feuil1'!$A$7</definedName>
    <definedName name="ARV">'Feuil1'!$E$7</definedName>
    <definedName name="AS">'Feuil1'!$E$3</definedName>
    <definedName name="AzLune">'Feuil1'!$A$20</definedName>
    <definedName name="AzMV">'Feuil1'!$C$5</definedName>
    <definedName name="cap">'Feuil1'!$B$21</definedName>
    <definedName name="Capcor">'Feuil1'!$B$27</definedName>
    <definedName name="DA">'Feuil1'!$C$7</definedName>
    <definedName name="DF">'Feuil1'!$B$6</definedName>
    <definedName name="DFO">'Feuil1'!$B$5</definedName>
    <definedName name="Direct">'Feuil1'!#REF!</definedName>
    <definedName name="Dist">'Feuil1'!$C$13</definedName>
    <definedName name="DistA">'Feuil1'!#REF!</definedName>
    <definedName name="DistPPP">'Feuil1'!$C$24</definedName>
    <definedName name="DLD">'Feuil1'!#REF!</definedName>
    <definedName name="DLE">'Feuil1'!$D$11</definedName>
    <definedName name="DLI">'Feuil1'!$D$45</definedName>
    <definedName name="DLL">'Feuil1'!$D$29</definedName>
    <definedName name="DS">'Feuil1'!$B$3</definedName>
    <definedName name="DSPPP">'Feuil1'!$C$22</definedName>
    <definedName name="e">'Feuil1'!#REF!</definedName>
    <definedName name="EA">'Feuil1'!#REF!</definedName>
    <definedName name="Esai">'Feuil1'!#REF!</definedName>
    <definedName name="Essai">'Feuil1'!#REF!</definedName>
    <definedName name="essao">'Feuil1'!#REF!</definedName>
    <definedName name="f">'Feuil1'!$B$13</definedName>
    <definedName name="GA">'Feuil1'!$E$9</definedName>
    <definedName name="HA">'Feuil1'!$B$17</definedName>
    <definedName name="HE">'Feuil1'!$A$22</definedName>
    <definedName name="HLune">'Feuil1'!$A$18</definedName>
    <definedName name="HMV">'Feuil1'!$C$3</definedName>
    <definedName name="HSol">'Feuil1'!$A$26</definedName>
    <definedName name="i">'Feuil1'!$B$25</definedName>
    <definedName name="IE">'Feuil1'!$A$22</definedName>
    <definedName name="kkk">'Feuil1'!#REF!</definedName>
    <definedName name="Lat1">'Feuil1'!#REF!</definedName>
    <definedName name="LatR">'Feuil1'!#REF!</definedName>
    <definedName name="LatRef">'Feuil1'!$A$12</definedName>
    <definedName name="Long1">'Feuil1'!#REF!</definedName>
    <definedName name="LongRef">'Feuil1'!$A$14</definedName>
    <definedName name="MG">'Feuil1'!$A$29</definedName>
    <definedName name="NE">'Feuil1'!$A$24</definedName>
    <definedName name="p">'Feuil1'!$B$7</definedName>
    <definedName name="R">'Feuil1'!$B$9</definedName>
    <definedName name="Rb">'Feuil1'!$B$11</definedName>
    <definedName name="ROT">'Feuil1'!$A$33</definedName>
    <definedName name="RP">'Feuil1'!$A$5</definedName>
    <definedName name="RPeri">'Feuil1'!$A$5</definedName>
    <definedName name="RT">'Feuil1'!$A$35</definedName>
    <definedName name="t">'Feuil1'!$B$15</definedName>
    <definedName name="TDI">'Feuil1'!#REF!</definedName>
    <definedName name="TEI">'Feuil1'!$D$21</definedName>
    <definedName name="TLI">'Feuil1'!$D$39</definedName>
    <definedName name="TRI">'Feuil1'!$B$34</definedName>
    <definedName name="V">'Feuil1'!$B$19</definedName>
    <definedName name="VA">'Feuil1'!$E$5</definedName>
    <definedName name="Vcor">'Feuil1'!$B$29</definedName>
    <definedName name="VD">'Feuil1'!#REF!</definedName>
    <definedName name="VE">'Feuil1'!$A$37</definedName>
    <definedName name="VEnt">'Feuil1'!$D$19</definedName>
    <definedName name="VI">'Feuil1'!$A$3</definedName>
    <definedName name="VLeon">'Feuil1'!$D$37</definedName>
    <definedName name="vsol">'Feuil1'!$A$39</definedName>
    <definedName name="VT">'Feuil1'!$A$31</definedName>
    <definedName name="XF">'Feuil1'!$E$11</definedName>
  </definedNames>
  <calcPr fullCalcOnLoad="1"/>
</workbook>
</file>

<file path=xl/sharedStrings.xml><?xml version="1.0" encoding="utf-8"?>
<sst xmlns="http://schemas.openxmlformats.org/spreadsheetml/2006/main" count="92" uniqueCount="85">
  <si>
    <t>Aphélie</t>
  </si>
  <si>
    <t>Angle Périgée/León (ARAL)</t>
  </si>
  <si>
    <t>Distance (Dist)</t>
  </si>
  <si>
    <t>Distance au sud de León</t>
  </si>
  <si>
    <t>Grand-axe (GA)</t>
  </si>
  <si>
    <t>Angle/Soleil (AS)</t>
  </si>
  <si>
    <t>Vitesse astéroïde (VA)</t>
  </si>
  <si>
    <t>Angle rayon/vitesse (ARV)</t>
  </si>
  <si>
    <t>Distance entre foyers (XF)</t>
  </si>
  <si>
    <t>Excentricité</t>
  </si>
  <si>
    <t>Durée révolution (jours)</t>
  </si>
  <si>
    <t>Vitesse Terre (VT)</t>
  </si>
  <si>
    <t>Rayon orbite terrestre (ROT)</t>
  </si>
  <si>
    <t>Rayon terrestre (RT)</t>
  </si>
  <si>
    <t>Vitesse évasion (VE)</t>
  </si>
  <si>
    <t>Vitesse sol (vsol)</t>
  </si>
  <si>
    <t>Distance sommet/centre (DS)</t>
  </si>
  <si>
    <t>Distance Foyer/Centre (DFO)</t>
  </si>
  <si>
    <t>Angle axe/asymptote (p)</t>
  </si>
  <si>
    <t>Distance 2eme foyer (Rb)</t>
  </si>
  <si>
    <t>Angle reflexion (t)</t>
  </si>
  <si>
    <t>Angle asymptote (HA)</t>
  </si>
  <si>
    <t>Vitesse (V)</t>
  </si>
  <si>
    <t>Cap (cap)</t>
  </si>
  <si>
    <t>Angle descente (i)</t>
  </si>
  <si>
    <t>Cap corrigé (Capcor)</t>
  </si>
  <si>
    <t>Vitesse corrigée (Vcor)</t>
  </si>
  <si>
    <t>Temps avant impact (TRI)</t>
  </si>
  <si>
    <t>Hauteur (HMV)</t>
  </si>
  <si>
    <t>Azimut (AzMV)</t>
  </si>
  <si>
    <t>Différence d'angles (DA)</t>
  </si>
  <si>
    <t>Distance au sol (DSPPP)</t>
  </si>
  <si>
    <t>Distance (DistPPP)</t>
  </si>
  <si>
    <t>Différence longitude (DLI)</t>
  </si>
  <si>
    <t>Choisir altitude (AltEnt)</t>
  </si>
  <si>
    <t>Différence longitude (DLE)</t>
  </si>
  <si>
    <t>Temps avant impact (TEI)</t>
  </si>
  <si>
    <t>Distance centre Terre [R]</t>
  </si>
  <si>
    <t>Près de León</t>
  </si>
  <si>
    <t>Altitude (AltLeon)</t>
  </si>
  <si>
    <t>Angle Rayon/axe (f)</t>
  </si>
  <si>
    <t>Différence longitude (DLL)</t>
  </si>
  <si>
    <t>Temps avant impact (TLI)</t>
  </si>
  <si>
    <t>Vitesse (VEnt)</t>
  </si>
  <si>
    <t>Vitesse (VLeon)</t>
  </si>
  <si>
    <t>Vitesse (Vimp)</t>
  </si>
  <si>
    <t>Orbite solaire</t>
  </si>
  <si>
    <t>Angle Terre/Grand-axe</t>
  </si>
  <si>
    <t>Variables</t>
  </si>
  <si>
    <t>Constantes</t>
  </si>
  <si>
    <t>Point de référence</t>
  </si>
  <si>
    <t>Latitude</t>
  </si>
  <si>
    <t>Longitude</t>
  </si>
  <si>
    <t>Hyperbole</t>
  </si>
  <si>
    <t>Angle descente</t>
  </si>
  <si>
    <t>Résultats</t>
  </si>
  <si>
    <t>Vidéo</t>
  </si>
  <si>
    <t>Angle descente apparent</t>
  </si>
  <si>
    <t>Angle désiré : 56,6°</t>
  </si>
  <si>
    <t>d. azimut en 1,4s</t>
  </si>
  <si>
    <t>d. az. sur la vidéo=8°</t>
  </si>
  <si>
    <t>Passage au plus près</t>
  </si>
  <si>
    <t>Vitesse angulaire :</t>
  </si>
  <si>
    <t>Hauteur angulaire</t>
  </si>
  <si>
    <t>Distance</t>
  </si>
  <si>
    <t>Données astronomiques</t>
  </si>
  <si>
    <t>A voir sur logiciel astro :</t>
  </si>
  <si>
    <t>Le 04/01/2004 à 16h47 TU</t>
  </si>
  <si>
    <t>Impact</t>
  </si>
  <si>
    <t>Entrée atmosphère</t>
  </si>
  <si>
    <t>Points particuliers</t>
  </si>
  <si>
    <t xml:space="preserve"> Vitesse à l'infini (VI)</t>
  </si>
  <si>
    <t>Rayon périgée (RP)</t>
  </si>
  <si>
    <t>Altitude référence (Aref)</t>
  </si>
  <si>
    <t>Latitude (LatRef)</t>
  </si>
  <si>
    <t>Longitude (LongRef)</t>
  </si>
  <si>
    <t>Hauteur lune (Hlune)</t>
  </si>
  <si>
    <t>Azimut lune (AzLune)</t>
  </si>
  <si>
    <t>Elévation écliptique (HE)</t>
  </si>
  <si>
    <t>Nœud écliptique (NE)</t>
  </si>
  <si>
    <t>Masse Terre x G (MG)</t>
  </si>
  <si>
    <t>Hauteur soleil (HSol)</t>
  </si>
  <si>
    <t>Angle Périgée/impact (ARAI)</t>
  </si>
  <si>
    <t>Angle Périgée/entrée (ARAE)</t>
  </si>
  <si>
    <t>Périhélie</t>
  </si>
</sst>
</file>

<file path=xl/styles.xml><?xml version="1.0" encoding="utf-8"?>
<styleSheet xmlns="http://schemas.openxmlformats.org/spreadsheetml/2006/main">
  <numFmts count="9">
    <numFmt numFmtId="5" formatCode="#,##0&quot; €&quot;;\-#,##0&quot; €&quot;"/>
    <numFmt numFmtId="6" formatCode="#,##0&quot; €&quot;;[Red]\-#,##0&quot; €&quot;"/>
    <numFmt numFmtId="7" formatCode="#,##0.00&quot; €&quot;;\-#,##0.00&quot; €&quot;"/>
    <numFmt numFmtId="8" formatCode="#,##0.00&quot; €&quot;;[Red]\-#,##0.00&quot; €&quot;"/>
    <numFmt numFmtId="42" formatCode="_-* #,##0&quot; €&quot;_-;\-* #,##0&quot; €&quot;_-;_-* &quot;-&quot;&quot; €&quot;_-;_-@_-"/>
    <numFmt numFmtId="41" formatCode="_-* #,##0_ _€_-;\-* #,##0_ _€_-;_-* &quot;-&quot;_ _€_-;_-@_-"/>
    <numFmt numFmtId="44" formatCode="_-* #,##0.00&quot; €&quot;_-;\-* #,##0.00&quot; €&quot;_-;_-* &quot;-&quot;??&quot; €&quot;_-;_-@_-"/>
    <numFmt numFmtId="43" formatCode="_-* #,##0.00_ _€_-;\-* #,##0.00_ _€_-;_-* &quot;-&quot;??_ _€_-;_-@_-"/>
    <numFmt numFmtId="164" formatCode="00000\-0000"/>
  </numFmts>
  <fonts count="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3"/>
  <sheetViews>
    <sheetView tabSelected="1" workbookViewId="0" topLeftCell="A1">
      <selection activeCell="E15" sqref="E15"/>
    </sheetView>
  </sheetViews>
  <sheetFormatPr defaultColWidth="11.00390625" defaultRowHeight="12.75"/>
  <cols>
    <col min="1" max="1" width="23.25390625" style="0" customWidth="1"/>
    <col min="2" max="2" width="24.25390625" style="0" customWidth="1"/>
    <col min="3" max="3" width="20.625" style="0" customWidth="1"/>
    <col min="4" max="4" width="23.625" style="0" customWidth="1"/>
    <col min="5" max="5" width="21.375" style="0" customWidth="1"/>
  </cols>
  <sheetData>
    <row r="1" spans="1:5" ht="12.75">
      <c r="A1" s="2" t="s">
        <v>48</v>
      </c>
      <c r="B1" s="2" t="s">
        <v>53</v>
      </c>
      <c r="C1" s="2" t="s">
        <v>56</v>
      </c>
      <c r="D1" s="2" t="s">
        <v>70</v>
      </c>
      <c r="E1" s="2" t="s">
        <v>46</v>
      </c>
    </row>
    <row r="2" spans="1:5" ht="12.75">
      <c r="A2" t="s">
        <v>71</v>
      </c>
      <c r="B2" t="s">
        <v>16</v>
      </c>
      <c r="C2" t="s">
        <v>28</v>
      </c>
      <c r="E2" t="s">
        <v>5</v>
      </c>
    </row>
    <row r="3" spans="1:5" ht="12.75">
      <c r="A3">
        <v>19</v>
      </c>
      <c r="B3">
        <f>MG/VI^2</f>
        <v>1104.1551246537397</v>
      </c>
      <c r="C3">
        <f>HLune+0.1</f>
        <v>23.1</v>
      </c>
      <c r="D3" s="2" t="s">
        <v>69</v>
      </c>
      <c r="E3">
        <f>DEGREES(ASIN(SIN(RADIANS(HA))/SIN(RADIANS(HE)))-ASIN(SIN(RADIANS(HSol))/SIN(RADIANS(HE))))</f>
        <v>7.0873823116158094</v>
      </c>
    </row>
    <row r="4" spans="1:5" ht="12.75">
      <c r="A4" t="s">
        <v>72</v>
      </c>
      <c r="B4" t="s">
        <v>17</v>
      </c>
      <c r="C4" t="s">
        <v>29</v>
      </c>
      <c r="D4" s="2" t="s">
        <v>34</v>
      </c>
      <c r="E4" t="s">
        <v>6</v>
      </c>
    </row>
    <row r="5" spans="1:5" ht="12.75">
      <c r="A5">
        <f>6199</f>
        <v>6199</v>
      </c>
      <c r="B5">
        <f>DS+RP</f>
        <v>7303.15512465374</v>
      </c>
      <c r="C5">
        <f>AzLune-4.6</f>
        <v>74</v>
      </c>
      <c r="D5" s="3">
        <f>150</f>
        <v>150</v>
      </c>
      <c r="E5">
        <f>SQRT(VT^2+VI^2-2*VT*VI*COS(RADIANS(AS+90)))</f>
        <v>37.26605484550861</v>
      </c>
    </row>
    <row r="6" spans="1:5" ht="12.75">
      <c r="A6" t="s">
        <v>73</v>
      </c>
      <c r="B6" t="s">
        <v>18</v>
      </c>
      <c r="C6" t="s">
        <v>30</v>
      </c>
      <c r="D6" t="s">
        <v>83</v>
      </c>
      <c r="E6" t="s">
        <v>7</v>
      </c>
    </row>
    <row r="7" spans="1:5" ht="12.75">
      <c r="A7">
        <f>20</f>
        <v>20</v>
      </c>
      <c r="B7">
        <f>DEGREES(ACOS(DS/DFO))</f>
        <v>81.30417553537312</v>
      </c>
      <c r="C7">
        <f>AzMV-Capcor</f>
        <v>22.338188250899165</v>
      </c>
      <c r="D7">
        <f>DEGREES(ACOS(((RT+AltEnt)^2+(2*DFO)^2-(2*DS+RT+AltEnt)^2)/(4*(RT+AltEnt)*DFO)))</f>
        <v>19.353612702819532</v>
      </c>
      <c r="E7">
        <f>AS+DEGREES(ACOS((VI^2+VA^2-VT^2)/(2*VI*VA)))</f>
        <v>59.60545174864224</v>
      </c>
    </row>
    <row r="8" spans="2:5" ht="12.75">
      <c r="B8" t="s">
        <v>37</v>
      </c>
      <c r="C8" t="s">
        <v>57</v>
      </c>
      <c r="D8" t="s">
        <v>64</v>
      </c>
      <c r="E8" t="s">
        <v>4</v>
      </c>
    </row>
    <row r="9" spans="1:5" ht="12.75">
      <c r="A9" s="2" t="s">
        <v>65</v>
      </c>
      <c r="B9">
        <f>RT+Aref</f>
        <v>6389</v>
      </c>
      <c r="C9">
        <f>DEGREES(ATAN(SIN(RADIANS(HMV))/TAN(RADIANS(DA))+TAN(RADIANS(i))*COS(RADIANS(HMV))/SIN(RADIANS(DA))))</f>
        <v>56.605341101312185</v>
      </c>
      <c r="D9">
        <f>(f-ARAE)/180*PI()*RT</f>
        <v>-480.00059474583963</v>
      </c>
      <c r="E9">
        <f>2*ROT/(2-(VA/VT)^2)</f>
        <v>685998076.0447828</v>
      </c>
    </row>
    <row r="10" spans="1:5" ht="12.75">
      <c r="A10" s="2" t="s">
        <v>50</v>
      </c>
      <c r="B10" t="s">
        <v>19</v>
      </c>
      <c r="C10" s="2" t="s">
        <v>58</v>
      </c>
      <c r="D10" t="s">
        <v>35</v>
      </c>
      <c r="E10" t="s">
        <v>8</v>
      </c>
    </row>
    <row r="11" spans="1:5" ht="12.75">
      <c r="A11" t="s">
        <v>74</v>
      </c>
      <c r="B11">
        <f>2*DS+R</f>
        <v>8597.31024930748</v>
      </c>
      <c r="D11">
        <f>DEGREES(ATAN(SIN(RADIANS(cap+180))/(COS(RADIANS(cap+180))*SIN(RADIANS(LatRef))+COS((RADIANS(LatRef)))/TAN(RADIANS(f-ARAE)))))</f>
        <v>4.452922075509292</v>
      </c>
      <c r="E11">
        <f>SQRT(ROT^2+(GA-ROT)^2+2*ROT*(GA-ROT)*COS(RADIANS(2*ARV)))</f>
        <v>481434992.26432115</v>
      </c>
    </row>
    <row r="12" spans="1:5" ht="12.75">
      <c r="A12" s="1">
        <f>42.58+Dist*COS(RADIANS(HMV))*COS(RADIANS(AzMV))*360/40000</f>
        <v>42.69632009267246</v>
      </c>
      <c r="B12" t="s">
        <v>40</v>
      </c>
      <c r="C12" t="s">
        <v>2</v>
      </c>
      <c r="D12" t="s">
        <v>52</v>
      </c>
      <c r="E12" t="s">
        <v>9</v>
      </c>
    </row>
    <row r="13" spans="1:5" ht="12.75">
      <c r="A13" s="1" t="s">
        <v>75</v>
      </c>
      <c r="B13">
        <f>DEGREES(ACOS((R^2+(2*DFO)^2-Rb^2)/(4*R*DFO)))</f>
        <v>15.035508095706012</v>
      </c>
      <c r="C13">
        <f>Aref/SIN(RADIANS(HMV))</f>
        <v>50.97656875581586</v>
      </c>
      <c r="D13">
        <f>LongRef-DLE-TEI*360/86160</f>
        <v>-9.583262458966487</v>
      </c>
      <c r="E13">
        <f>XF/GA</f>
        <v>0.7018022485428844</v>
      </c>
    </row>
    <row r="14" spans="1:5" ht="12.75">
      <c r="A14">
        <f>-5.57+Dist*COS(RADIANS(HMV))*SIN(RADIANS(AzMV))*360/40000/COS(RADIANS(42.58))</f>
        <v>-5.019085947662163</v>
      </c>
      <c r="B14" t="s">
        <v>20</v>
      </c>
      <c r="D14" t="s">
        <v>51</v>
      </c>
      <c r="E14" t="s">
        <v>84</v>
      </c>
    </row>
    <row r="15" spans="1:5" ht="12.75">
      <c r="A15" s="2" t="s">
        <v>67</v>
      </c>
      <c r="B15">
        <f>DEGREES(ACOS((R^2+Rb^2-(2*DFO)^2)/(2*R*Rb)))/2</f>
        <v>76.9246120286803</v>
      </c>
      <c r="C15" s="2" t="s">
        <v>62</v>
      </c>
      <c r="D15">
        <f>DEGREES(ACOS(SIN(RADIANS(f-ARAE))*SIN(RADIANS(cap+180))/SIN(RADIANS(DLE))))</f>
        <v>39.962379690928564</v>
      </c>
      <c r="E15">
        <f>(GA-XF)/2</f>
        <v>102281541.8902308</v>
      </c>
    </row>
    <row r="16" spans="1:5" ht="12.75">
      <c r="A16" s="2" t="s">
        <v>66</v>
      </c>
      <c r="B16" t="s">
        <v>21</v>
      </c>
      <c r="C16" t="s">
        <v>59</v>
      </c>
      <c r="D16" t="s">
        <v>54</v>
      </c>
      <c r="E16" t="s">
        <v>0</v>
      </c>
    </row>
    <row r="17" spans="1:5" ht="12.75">
      <c r="A17" t="s">
        <v>76</v>
      </c>
      <c r="B17">
        <f>p+f-90</f>
        <v>6.339683631079126</v>
      </c>
      <c r="C17">
        <f>DEGREES(ASIN(Vcor*1.4*COS(RADIANS(i))*SIN(RADIANS(DA))/Dist)/COS(RADIANS(HMV)))</f>
        <v>13.90204914453138</v>
      </c>
      <c r="D17">
        <f>90-DEGREES(ACOS(((RT+AltEnt)^2+(2*DS+RT+AltEnt)^2-(2*DFO)^2)/(2*(RT+AltEnt)*(2*DS+RT+AltEnt))))/2</f>
        <v>16.842872804595018</v>
      </c>
      <c r="E17">
        <f>(GA+XF)/2</f>
        <v>583716534.154552</v>
      </c>
    </row>
    <row r="18" spans="1:5" ht="12.75">
      <c r="A18">
        <f>23</f>
        <v>23</v>
      </c>
      <c r="B18" t="s">
        <v>22</v>
      </c>
      <c r="C18" s="2" t="s">
        <v>60</v>
      </c>
      <c r="D18" t="s">
        <v>43</v>
      </c>
      <c r="E18" t="s">
        <v>47</v>
      </c>
    </row>
    <row r="19" spans="1:5" ht="12.75">
      <c r="A19" t="s">
        <v>77</v>
      </c>
      <c r="B19">
        <f>SQRT(VI^2+2*MG/R)</f>
        <v>22.04034846368561</v>
      </c>
      <c r="D19">
        <f>SQRT(VI^2+2*MG/(RT+AltEnt))</f>
        <v>21.98382802391474</v>
      </c>
      <c r="E19">
        <f>DEGREES(ACOS((ROT+(GA-ROT)*COS(RADIANS(2*ARV)))/XF))</f>
        <v>103.47397065098414</v>
      </c>
    </row>
    <row r="20" spans="1:5" ht="12.75">
      <c r="A20">
        <f>78.6</f>
        <v>78.6</v>
      </c>
      <c r="B20" t="s">
        <v>23</v>
      </c>
      <c r="C20" s="2" t="s">
        <v>61</v>
      </c>
      <c r="D20" t="s">
        <v>36</v>
      </c>
      <c r="E20" t="s">
        <v>10</v>
      </c>
    </row>
    <row r="21" spans="1:5" ht="12.75">
      <c r="A21" t="s">
        <v>78</v>
      </c>
      <c r="B21">
        <f>NE-DEGREES(ASIN(TAN(RADIANS(HA))/TAN(RADIANS(HE))))-180</f>
        <v>52.21814273030361</v>
      </c>
      <c r="C21" s="3" t="s">
        <v>31</v>
      </c>
      <c r="D21">
        <f>(ARAE-ARAI)*R*PI()/(VEnt*(COS(RADIANS(i)))*180)</f>
        <v>26.626894966944473</v>
      </c>
      <c r="E21">
        <f>365.24*SQRT((GA/(2*ROT))^3)</f>
        <v>1268.0030461000883</v>
      </c>
    </row>
    <row r="22" spans="1:3" ht="12.75">
      <c r="A22">
        <f>47.8</f>
        <v>47.8</v>
      </c>
      <c r="C22">
        <f>Dist*COS(RADIANS(HMV))*SIN(RADIANS(DA))</f>
        <v>17.821361252933357</v>
      </c>
    </row>
    <row r="23" spans="1:4" ht="12.75">
      <c r="A23" t="s">
        <v>79</v>
      </c>
      <c r="B23" s="2" t="s">
        <v>55</v>
      </c>
      <c r="C23" t="s">
        <v>32</v>
      </c>
      <c r="D23" s="2" t="s">
        <v>38</v>
      </c>
    </row>
    <row r="24" spans="1:4" ht="12.75">
      <c r="A24">
        <f>238</f>
        <v>238</v>
      </c>
      <c r="B24" t="s">
        <v>24</v>
      </c>
      <c r="C24">
        <f>SQRT(DSPPP^2+(Aref+DSPPP/TAN(RADIANS(DA))*TAN(RADIANS(i)))^2)</f>
        <v>34.956936558540214</v>
      </c>
      <c r="D24" s="3" t="s">
        <v>39</v>
      </c>
    </row>
    <row r="25" spans="1:4" ht="12.75">
      <c r="A25" t="s">
        <v>81</v>
      </c>
      <c r="B25">
        <f>90-t</f>
        <v>13.0753879713197</v>
      </c>
      <c r="C25" t="s">
        <v>63</v>
      </c>
      <c r="D25" s="3">
        <f>Dist*COS(RADIANS(HMV))*TAN(RADIANS(i))+Aref</f>
        <v>30.89026166136184</v>
      </c>
    </row>
    <row r="26" spans="1:4" ht="12.75">
      <c r="A26">
        <f>1.1</f>
        <v>1.1</v>
      </c>
      <c r="B26" t="s">
        <v>25</v>
      </c>
      <c r="C26">
        <f>DEGREES(ACOS(DSPPP/DistPPP))</f>
        <v>59.34889110362374</v>
      </c>
      <c r="D26" t="s">
        <v>1</v>
      </c>
    </row>
    <row r="27" spans="1:4" ht="12.75">
      <c r="A27" s="2" t="s">
        <v>49</v>
      </c>
      <c r="B27">
        <f>DEGREES(ACOS(V/Vcor*COS(RADIANS(cap))))</f>
        <v>51.661811749100835</v>
      </c>
      <c r="D27">
        <f>DEGREES(ACOS(((RT+AltLeon)^2+(2*DFO)^2-(2*DS+RT+AltLeon)^2)/(4*(RT+AltLeon)*DFO)))</f>
        <v>15.449720185707656</v>
      </c>
    </row>
    <row r="28" spans="1:4" ht="12.75">
      <c r="A28" t="s">
        <v>80</v>
      </c>
      <c r="B28" t="s">
        <v>26</v>
      </c>
      <c r="C28" s="2" t="s">
        <v>3</v>
      </c>
      <c r="D28" t="s">
        <v>41</v>
      </c>
    </row>
    <row r="29" spans="1:4" ht="12.75">
      <c r="A29">
        <f>398600</f>
        <v>398600</v>
      </c>
      <c r="B29">
        <f>SQRT(V^2+vsol^2-2*V*vsol*COS(RADIANS(90-cap)))</f>
        <v>21.768704213992095</v>
      </c>
      <c r="C29">
        <f>DSPPP/COS(RADIANS(90-AzMV+DA))</f>
        <v>22.720805066538574</v>
      </c>
      <c r="D29">
        <f>DEGREES(ATAN(SIN(RADIANS(cap+180))/(COS(RADIANS(cap+180))*SIN(RADIANS(LatRef))+COS((RADIANS(LatRef)))/TAN(RADIANS(f-ARAL)))))</f>
        <v>0.44361559501792536</v>
      </c>
    </row>
    <row r="30" spans="1:4" ht="12.75">
      <c r="A30" t="s">
        <v>11</v>
      </c>
      <c r="D30" t="s">
        <v>52</v>
      </c>
    </row>
    <row r="31" spans="1:4" ht="12.75">
      <c r="A31">
        <f>29.8</f>
        <v>29.8</v>
      </c>
      <c r="B31" t="s">
        <v>82</v>
      </c>
      <c r="D31">
        <f>LongRef-DLL-TLI*360/86160</f>
        <v>-5.4889546779747365</v>
      </c>
    </row>
    <row r="32" spans="1:4" ht="12.75">
      <c r="A32" t="s">
        <v>12</v>
      </c>
      <c r="B32">
        <f>DEGREES(ACOS(((RT)^2+(2*DFO)^2-(2*DS+RT)^2)/(4*(RT)*DFO)))</f>
        <v>14.24026648810544</v>
      </c>
      <c r="D32" t="s">
        <v>51</v>
      </c>
    </row>
    <row r="33" spans="1:4" ht="12.75">
      <c r="A33">
        <f>149600000</f>
        <v>149600000</v>
      </c>
      <c r="B33" t="s">
        <v>27</v>
      </c>
      <c r="D33">
        <f>DEGREES(ACOS(SIN(RADIANS(f-ARAL))*SIN(RADIANS(cap+180))/SIN(RADIANS(DLL))))</f>
        <v>42.44169220183975</v>
      </c>
    </row>
    <row r="34" spans="1:4" ht="12.75">
      <c r="A34" t="s">
        <v>13</v>
      </c>
      <c r="B34">
        <f>(f-ARAI)*R*PI()/(V*(COS(RADIANS(i)))*180)</f>
        <v>4.1304681931555285</v>
      </c>
      <c r="D34" t="s">
        <v>54</v>
      </c>
    </row>
    <row r="35" spans="1:4" ht="12.75">
      <c r="A35">
        <f>6369</f>
        <v>6369</v>
      </c>
      <c r="D35">
        <f>90-DEGREES(ACOS(((RT+AltLeon)^2+(2*DS+RT+AltLeon)^2-(2*DFO)^2)/(2*(RT+AltLeon)*(2*DS+RT+AltLeon))))/2</f>
        <v>13.436436175206282</v>
      </c>
    </row>
    <row r="36" spans="1:4" ht="12.75">
      <c r="A36" t="s">
        <v>14</v>
      </c>
      <c r="D36" t="s">
        <v>44</v>
      </c>
    </row>
    <row r="37" spans="1:4" ht="12.75">
      <c r="A37">
        <f>SQRT(2*MG/RT)</f>
        <v>11.187885694298217</v>
      </c>
      <c r="D37">
        <f>SQRT(VI^2+2*MG/(RT+AltLeon))</f>
        <v>22.035531213517523</v>
      </c>
    </row>
    <row r="38" spans="1:4" ht="12.75">
      <c r="A38" t="s">
        <v>15</v>
      </c>
      <c r="D38" t="s">
        <v>42</v>
      </c>
    </row>
    <row r="39" spans="1:4" ht="12.75">
      <c r="A39">
        <f>0.345</f>
        <v>0.345</v>
      </c>
      <c r="D39">
        <f>(ARAL-ARAI)*R*PI()/(VLeon*(COS(RADIANS(i)))*180)</f>
        <v>6.283250380519082</v>
      </c>
    </row>
    <row r="41" ht="12.75">
      <c r="D41" s="2" t="s">
        <v>68</v>
      </c>
    </row>
    <row r="42" ht="12.75">
      <c r="D42" s="3" t="s">
        <v>64</v>
      </c>
    </row>
    <row r="43" ht="12.75">
      <c r="D43">
        <f>(f-ARAI)/180*PI()*RT</f>
        <v>88.39907305304354</v>
      </c>
    </row>
    <row r="44" ht="12.75">
      <c r="D44" t="s">
        <v>33</v>
      </c>
    </row>
    <row r="45" ht="12.75">
      <c r="D45">
        <f>DEGREES(ATAN(SIN(RADIANS(cap+180))/(COS(RADIANS(cap+180))*SIN(RADIANS(LatRef))+COS((RADIANS(LatRef)))/TAN(RADIANS(f-ARAI)))))</f>
        <v>-0.8619291274461587</v>
      </c>
    </row>
    <row r="46" ht="12.75">
      <c r="D46" t="s">
        <v>52</v>
      </c>
    </row>
    <row r="47" ht="12.75">
      <c r="D47">
        <f>LongRef-DLI-TRI*360/86160</f>
        <v>-4.174415043864287</v>
      </c>
    </row>
    <row r="48" ht="12.75">
      <c r="D48" t="s">
        <v>51</v>
      </c>
    </row>
    <row r="49" ht="12.75">
      <c r="D49">
        <f>DEGREES(ACOS(SIN(RADIANS(f-ARAI))*SIN(RADIANS(cap+180))/SIN(RADIANS(DLI))))</f>
        <v>43.1803146261685</v>
      </c>
    </row>
    <row r="50" ht="12.75">
      <c r="D50" t="s">
        <v>54</v>
      </c>
    </row>
    <row r="51" ht="12.75">
      <c r="D51">
        <f>90-DEGREES(ACOS((RT^2+(2*DS+RT)^2-(2*DFO)^2)/(2*RT*(2*DS+RT))))/2</f>
        <v>12.382399641244618</v>
      </c>
    </row>
    <row r="52" ht="12.75">
      <c r="D52" t="s">
        <v>45</v>
      </c>
    </row>
    <row r="53" ht="12.75">
      <c r="D53">
        <f>SQRT(VI^2+2*MG/(RT))</f>
        <v>22.049235503950758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INH Evidence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Alessandri</dc:creator>
  <cp:keywords/>
  <dc:description/>
  <cp:lastModifiedBy>Robert Alessandri</cp:lastModifiedBy>
  <dcterms:created xsi:type="dcterms:W3CDTF">2004-01-16T22:33:09Z</dcterms:created>
  <cp:category/>
  <cp:version/>
  <cp:contentType/>
  <cp:contentStatus/>
</cp:coreProperties>
</file>